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felip\Downloads\"/>
    </mc:Choice>
  </mc:AlternateContent>
  <xr:revisionPtr revIDLastSave="0" documentId="13_ncr:1_{5ABC5140-01D3-4CCE-B2A3-8CBCD408936A}" xr6:coauthVersionLast="47" xr6:coauthVersionMax="47" xr10:uidLastSave="{00000000-0000-0000-0000-000000000000}"/>
  <bookViews>
    <workbookView xWindow="-120" yWindow="-120" windowWidth="29040" windowHeight="15720" tabRatio="808" activeTab="14" xr2:uid="{4AFDF899-E6CE-438F-86CA-04C7DFA74DDA}"/>
  </bookViews>
  <sheets>
    <sheet name="Adquiridos" sheetId="1" r:id="rId1"/>
    <sheet name="Coleções" sheetId="2" r:id="rId2"/>
    <sheet name="Janeiro" sheetId="3" r:id="rId3"/>
    <sheet name="Fevereiro" sheetId="4" r:id="rId4"/>
    <sheet name="Março" sheetId="5" r:id="rId5"/>
    <sheet name="Abril" sheetId="6" r:id="rId6"/>
    <sheet name="Maio" sheetId="7" r:id="rId7"/>
    <sheet name="Junho" sheetId="8" r:id="rId8"/>
    <sheet name="Julho" sheetId="9" r:id="rId9"/>
    <sheet name="Agosto" sheetId="10" r:id="rId10"/>
    <sheet name="Setembro" sheetId="11" r:id="rId11"/>
    <sheet name="Outubro" sheetId="12" r:id="rId12"/>
    <sheet name="Novembro" sheetId="13" r:id="rId13"/>
    <sheet name="Dezembro" sheetId="14" r:id="rId14"/>
    <sheet name="Totais" sheetId="15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4" l="1"/>
  <c r="E3" i="14"/>
  <c r="F3" i="14"/>
  <c r="C3" i="14"/>
  <c r="M5" i="15" s="1"/>
  <c r="D3" i="13"/>
  <c r="E3" i="13"/>
  <c r="F3" i="13"/>
  <c r="C3" i="13"/>
  <c r="L5" i="15" s="1"/>
  <c r="D3" i="12"/>
  <c r="E3" i="12"/>
  <c r="F3" i="12"/>
  <c r="C3" i="12"/>
  <c r="K5" i="15" s="1"/>
  <c r="D3" i="11"/>
  <c r="E3" i="11"/>
  <c r="F3" i="11"/>
  <c r="C3" i="11"/>
  <c r="J5" i="15" s="1"/>
  <c r="D3" i="10"/>
  <c r="E3" i="10"/>
  <c r="F3" i="10"/>
  <c r="C3" i="10"/>
  <c r="F3" i="9"/>
  <c r="C3" i="9"/>
  <c r="D3" i="8"/>
  <c r="E3" i="8"/>
  <c r="F3" i="8"/>
  <c r="C3" i="8"/>
  <c r="G5" i="15" s="1"/>
  <c r="D3" i="7"/>
  <c r="E3" i="7"/>
  <c r="F3" i="7"/>
  <c r="C3" i="7"/>
  <c r="D3" i="6"/>
  <c r="E3" i="6"/>
  <c r="F3" i="6"/>
  <c r="C3" i="6"/>
  <c r="E5" i="15" s="1"/>
  <c r="D3" i="5"/>
  <c r="E3" i="5"/>
  <c r="F3" i="5"/>
  <c r="C3" i="5"/>
  <c r="D5" i="15" s="1"/>
  <c r="F3" i="4"/>
  <c r="C3" i="4"/>
  <c r="C5" i="15" s="1"/>
  <c r="E3" i="4"/>
  <c r="F2" i="14"/>
  <c r="F2" i="13"/>
  <c r="F2" i="12"/>
  <c r="F2" i="11"/>
  <c r="F2" i="10"/>
  <c r="F2" i="9"/>
  <c r="F2" i="8"/>
  <c r="F2" i="7"/>
  <c r="F2" i="6"/>
  <c r="F2" i="5"/>
  <c r="F2" i="4"/>
  <c r="C4" i="3"/>
  <c r="B5" i="15" s="1"/>
  <c r="F4" i="3"/>
  <c r="E4" i="3"/>
  <c r="F3" i="3"/>
  <c r="M3" i="15"/>
  <c r="L3" i="15"/>
  <c r="K3" i="15"/>
  <c r="J3" i="15"/>
  <c r="I3" i="15"/>
  <c r="H3" i="15"/>
  <c r="G3" i="15"/>
  <c r="F3" i="15"/>
  <c r="E3" i="15"/>
  <c r="D3" i="15"/>
  <c r="C3" i="15"/>
  <c r="B3" i="15"/>
  <c r="A24" i="2"/>
  <c r="B24" i="2" s="1"/>
  <c r="C24" i="2" s="1"/>
  <c r="D24" i="2" s="1"/>
  <c r="E24" i="2" s="1"/>
  <c r="A25" i="2" s="1"/>
  <c r="B25" i="2" s="1"/>
  <c r="C25" i="2" s="1"/>
  <c r="D25" i="2" s="1"/>
  <c r="E25" i="2" s="1"/>
  <c r="A26" i="2" s="1"/>
  <c r="B26" i="2" s="1"/>
  <c r="C26" i="2" s="1"/>
  <c r="D26" i="2" s="1"/>
  <c r="E26" i="2" s="1"/>
  <c r="A27" i="2" s="1"/>
  <c r="B27" i="2" s="1"/>
  <c r="C27" i="2" s="1"/>
  <c r="D27" i="2" s="1"/>
  <c r="E27" i="2" s="1"/>
  <c r="A28" i="2" s="1"/>
  <c r="B28" i="2" s="1"/>
  <c r="C28" i="2" s="1"/>
  <c r="D28" i="2" s="1"/>
  <c r="E28" i="2" s="1"/>
  <c r="A29" i="2" s="1"/>
  <c r="B29" i="2" s="1"/>
  <c r="C29" i="2" s="1"/>
  <c r="D29" i="2" s="1"/>
  <c r="D3" i="9"/>
  <c r="E3" i="9"/>
  <c r="D4" i="3"/>
  <c r="B6" i="15" s="1"/>
  <c r="D3" i="4"/>
  <c r="I5" i="15"/>
  <c r="H5" i="15"/>
  <c r="F5" i="15"/>
  <c r="M4" i="15"/>
  <c r="L4" i="15"/>
  <c r="K4" i="15"/>
  <c r="J4" i="15"/>
  <c r="I4" i="15"/>
  <c r="H4" i="15"/>
  <c r="G4" i="15"/>
  <c r="F4" i="15"/>
  <c r="E4" i="15"/>
  <c r="D4" i="15"/>
  <c r="C4" i="15"/>
  <c r="M2" i="15"/>
  <c r="L2" i="15"/>
  <c r="K2" i="15"/>
  <c r="J2" i="15"/>
  <c r="I2" i="15"/>
  <c r="H2" i="15"/>
  <c r="G2" i="15"/>
  <c r="F2" i="15"/>
  <c r="E2" i="15"/>
  <c r="D2" i="15"/>
  <c r="C2" i="15"/>
  <c r="B2" i="15"/>
  <c r="I3" i="14"/>
  <c r="I3" i="13"/>
  <c r="I3" i="12"/>
  <c r="I3" i="11"/>
  <c r="I3" i="10"/>
  <c r="I3" i="9"/>
  <c r="I3" i="8"/>
  <c r="I3" i="7"/>
  <c r="I3" i="6"/>
  <c r="I3" i="5"/>
  <c r="I3" i="4"/>
  <c r="I4" i="3"/>
  <c r="B4" i="15" s="1"/>
  <c r="C7" i="15" a="1"/>
  <c r="D6" i="15" a="1"/>
  <c r="L7" i="15" a="1"/>
  <c r="D7" i="15" a="1"/>
  <c r="G6" i="15" a="1"/>
  <c r="L6" i="15" a="1"/>
  <c r="H6" i="15" a="1"/>
  <c r="G7" i="15" a="1"/>
  <c r="H7" i="15" a="1"/>
  <c r="F6" i="15" a="1"/>
  <c r="M7" i="15" a="1"/>
  <c r="B7" i="15" a="1"/>
  <c r="J6" i="15" a="1"/>
  <c r="F7" i="15" a="1"/>
  <c r="E6" i="15" a="1"/>
  <c r="C6" i="15" a="1"/>
  <c r="I7" i="15" a="1"/>
  <c r="J7" i="15" a="1"/>
  <c r="K6" i="15" a="1"/>
  <c r="I6" i="15" a="1"/>
  <c r="M6" i="15" a="1"/>
  <c r="E7" i="15" a="1"/>
  <c r="K7" i="15" a="1"/>
  <c r="N2" i="15" l="1"/>
  <c r="N5" i="15"/>
  <c r="N4" i="15"/>
  <c r="M7" i="15"/>
  <c r="K7" i="15"/>
  <c r="E7" i="15"/>
  <c r="H7" i="15"/>
  <c r="G7" i="15"/>
  <c r="F7" i="15"/>
  <c r="D7" i="15"/>
  <c r="L7" i="15"/>
  <c r="J7" i="15"/>
  <c r="I7" i="15"/>
  <c r="C7" i="15"/>
  <c r="B7" i="15"/>
  <c r="G6" i="15"/>
  <c r="F6" i="15"/>
  <c r="E6" i="15"/>
  <c r="M6" i="15"/>
  <c r="I6" i="15"/>
  <c r="H6" i="15"/>
  <c r="L6" i="15"/>
  <c r="K6" i="15"/>
  <c r="J6" i="15"/>
  <c r="D6" i="15"/>
  <c r="C6" i="15"/>
  <c r="K3" i="1"/>
  <c r="N3" i="15" s="1"/>
  <c r="I8" i="15" l="1"/>
  <c r="N6" i="15"/>
  <c r="L8" i="15"/>
  <c r="B8" i="15"/>
  <c r="N7" i="15"/>
  <c r="J8" i="15"/>
  <c r="C8" i="15"/>
  <c r="F8" i="15"/>
  <c r="G8" i="15"/>
  <c r="D8" i="15"/>
  <c r="H8" i="15"/>
  <c r="E8" i="15"/>
  <c r="K8" i="15"/>
  <c r="M8" i="15"/>
  <c r="N8" i="1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<sst xmlns="http://schemas.openxmlformats.org/spreadsheetml/2006/main" count="168" uniqueCount="48">
  <si>
    <t>ID</t>
  </si>
  <si>
    <t>Título</t>
  </si>
  <si>
    <t>Páginas</t>
  </si>
  <si>
    <t>Editora</t>
  </si>
  <si>
    <t>Loja</t>
  </si>
  <si>
    <t>Valor Pago</t>
  </si>
  <si>
    <t>Valor Capa</t>
  </si>
  <si>
    <t>Economia</t>
  </si>
  <si>
    <t>Observações</t>
  </si>
  <si>
    <t>Total</t>
  </si>
  <si>
    <t>Wolverine 2025</t>
  </si>
  <si>
    <t>Fabulosos X-Men 2025</t>
  </si>
  <si>
    <t>Excepcionais X-Men 2025</t>
  </si>
  <si>
    <t>Deadpool 2025</t>
  </si>
  <si>
    <t>Espetacular Homem-Aranha 2025</t>
  </si>
  <si>
    <t>Venom 2025</t>
  </si>
  <si>
    <t>Miles Morale 2025</t>
  </si>
  <si>
    <t>Absolute Batman</t>
  </si>
  <si>
    <t>Absolute Superman</t>
  </si>
  <si>
    <t>Absolute Mulher-Maravilha</t>
  </si>
  <si>
    <t>Saga do Wolverine</t>
  </si>
  <si>
    <t>Demolidor Definitivo</t>
  </si>
  <si>
    <t>Data</t>
  </si>
  <si>
    <t>Tipo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</si>
  <si>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</si>
  <si>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</si>
  <si>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</si>
  <si>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</si>
  <si>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</si>
  <si>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</si>
  <si>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</si>
  <si>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</si>
  <si>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</si>
  <si>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</si>
  <si>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</si>
  <si>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</si>
  <si>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dia</t>
  </si>
  <si>
    <t>Mês</t>
  </si>
  <si>
    <t>Lidos</t>
  </si>
  <si>
    <t>Adquiridos</t>
  </si>
  <si>
    <t>TOTAIS</t>
  </si>
  <si>
    <t>X-Men (2e)</t>
  </si>
  <si>
    <t>Valor Gasto</t>
  </si>
  <si>
    <t>na coleção</t>
  </si>
  <si>
    <t>adquirido</t>
  </si>
  <si>
    <t>não tenho</t>
  </si>
  <si>
    <t>Valor Lido</t>
  </si>
  <si>
    <t>Capa Lido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</si>
</sst>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256E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0" xfId="0" applyFill="1"/>
    <xf numFmtId="0" fontId="3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7" fillId="8" borderId="1" xfId="0" applyFont="1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164" fontId="7" fillId="0" borderId="1" xfId="0" applyNumberFormat="1" applyFont="1" applyBorder="1" applyAlignment="1">
      <alignment horizontal="right"/>
    </xf>
    <xf numFmtId="164" fontId="7" fillId="0" borderId="1" xfId="1" applyNumberFormat="1" applyFont="1" applyBorder="1" applyAlignment="1">
      <alignment horizontal="right"/>
    </xf>
    <xf numFmtId="164" fontId="7" fillId="8" borderId="1" xfId="0" applyNumberFormat="1" applyFont="1" applyFill="1" applyBorder="1" applyAlignment="1">
      <alignment horizontal="right"/>
    </xf>
    <xf numFmtId="0" fontId="7" fillId="8" borderId="5" xfId="0" applyFont="1" applyFill="1" applyBorder="1"/>
    <xf numFmtId="0" fontId="7" fillId="8" borderId="6" xfId="0" applyFont="1" applyFill="1" applyBorder="1" applyAlignment="1">
      <alignment horizontal="right"/>
    </xf>
    <xf numFmtId="0" fontId="7" fillId="0" borderId="5" xfId="0" applyFont="1" applyBorder="1"/>
    <xf numFmtId="0" fontId="7" fillId="0" borderId="6" xfId="0" applyFont="1" applyBorder="1" applyAlignment="1">
      <alignment horizontal="right"/>
    </xf>
    <xf numFmtId="164" fontId="7" fillId="0" borderId="6" xfId="0" applyNumberFormat="1" applyFont="1" applyBorder="1" applyAlignment="1">
      <alignment horizontal="right"/>
    </xf>
    <xf numFmtId="164" fontId="7" fillId="8" borderId="6" xfId="0" applyNumberFormat="1" applyFont="1" applyFill="1" applyBorder="1" applyAlignment="1">
      <alignment horizontal="right"/>
    </xf>
    <xf numFmtId="0" fontId="7" fillId="0" borderId="7" xfId="0" applyFont="1" applyBorder="1"/>
    <xf numFmtId="164" fontId="7" fillId="0" borderId="8" xfId="0" applyNumberFormat="1" applyFont="1" applyBorder="1" applyAlignment="1">
      <alignment horizontal="right"/>
    </xf>
    <xf numFmtId="164" fontId="7" fillId="0" borderId="9" xfId="0" applyNumberFormat="1" applyFont="1" applyBorder="1" applyAlignment="1">
      <alignment horizontal="right"/>
    </xf>
    <xf numFmtId="0" fontId="7" fillId="7" borderId="2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6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44" fontId="0" fillId="0" borderId="0" xfId="1" applyFont="1"/>
    <xf numFmtId="44" fontId="0" fillId="0" borderId="0" xfId="0" applyNumberFormat="1"/>
    <xf numFmtId="44" fontId="7" fillId="8" borderId="1" xfId="1" applyFont="1" applyFill="1" applyBorder="1" applyAlignment="1">
      <alignment horizontal="right"/>
    </xf>
    <xf numFmtId="44" fontId="7" fillId="8" borderId="6" xfId="1" applyFont="1" applyFill="1" applyBorder="1" applyAlignment="1">
      <alignment horizontal="right"/>
    </xf>
    <xf numFmtId="14" fontId="0" fillId="0" borderId="0" xfId="0" applyNumberFormat="1"/>
    <xf numFmtId="44" fontId="1" fillId="0" borderId="0" xfId="0" applyNumberFormat="1" applyFont="1"/>
    <xf numFmtId="44" fontId="0" fillId="0" borderId="0" xfId="0" applyNumberFormat="1" applyFont="1"/>
    <xf numFmtId="44" fontId="1" fillId="0" borderId="0" xfId="1" applyNumberFormat="1" applyFont="1"/>
  </cellXfs>
  <cellStyles count="2">
    <cellStyle name="Moeda" xfId="1" builtinId="4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colors>
    <mruColors>
      <color rgb="FF256EFF"/>
      <color rgb="FF397DEB"/>
      <color rgb="FF3571EF"/>
      <color rgb="FF3576EF"/>
      <color rgb="FF358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22/10/relationships/richValueRel" Target="richData/richValueRel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C5AF26-0D7F-4CFC-9E52-041B53D245D2}" name="Tabela1" displayName="Tabela1" ref="A1:K3" totalsRowCount="1">
  <autoFilter ref="A1:K2" xr:uid="{F6C5AF26-0D7F-4CFC-9E52-041B53D245D2}"/>
  <tableColumns count="11">
    <tableColumn id="1" xr3:uid="{79D79D8A-0B11-4626-9BF7-59D350DA9774}" name="ID" totalsRowLabel="Total"/>
    <tableColumn id="2" xr3:uid="{1ED7CD68-7AC0-477F-8EA0-3AF955A93469}" name="Título"/>
    <tableColumn id="3" xr3:uid="{51A5ED1B-A9A7-4821-927F-AD08BC46A6E3}" name="Páginas"/>
    <tableColumn id="4" xr3:uid="{144AAE5C-9266-4ECD-B980-FFA2818F095A}" name="Editora"/>
    <tableColumn id="5" xr3:uid="{67032A19-575E-4E38-8631-02EE17FCA567}" name="Loja"/>
    <tableColumn id="6" xr3:uid="{793EBFEA-0C4D-4801-8952-8EC61060A37C}" name="Valor Pago" totalsRowDxfId="17" dataCellStyle="Moeda" totalsRowCellStyle="Moeda"/>
    <tableColumn id="7" xr3:uid="{ED9B0CC3-7AFD-425C-84A0-CE615AD70DD9}" name="Valor Capa" totalsRowDxfId="16" dataCellStyle="Moeda" totalsRowCellStyle="Moeda"/>
    <tableColumn id="8" xr3:uid="{2B88FD2E-D646-4778-8B64-47BC3DA5AB7F}" name="Economia"/>
    <tableColumn id="11" xr3:uid="{973A9FCA-83A5-4273-886A-5A3B8B2D2A45}" name="dia"/>
    <tableColumn id="9" xr3:uid="{8563A801-F38D-4DFA-9C4D-2C12026ADE2C}" name="Mês"/>
    <tableColumn id="10" xr3:uid="{691A9ADB-3B25-441D-B5F6-0997B1DA1AFA}" name="Observações" totalsRowFunction="count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36A562D-614E-4244-95F9-1594DA2509E7}" name="SETEMBRO" displayName="SETEMBR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9442A918-883A-458D-B801-34963D6D25FD}" name="ID" totalsRowLabel="Total"/>
    <tableColumn id="2" xr3:uid="{03DF101B-13B2-4FCB-A151-3D8525A4AE86}" name="Título"/>
    <tableColumn id="3" xr3:uid="{9EBADE6D-B9AD-4FE4-8513-C27D97FBF629}" name="Páginas" totalsRowFunction="sum"/>
    <tableColumn id="4" xr3:uid="{620B3C6E-8D76-403D-B6D8-AEB091BBF116}" name="Valor Pago" totalsRowFunction="sum" dataCellStyle="Moeda"/>
    <tableColumn id="5" xr3:uid="{BE4F83A0-D6E5-4BB4-B567-636D0A3625F2}" name="Valor Capa" totalsRowFunction="sum" dataCellStyle="Moeda"/>
    <tableColumn id="6" xr3:uid="{C95CE636-3B52-404B-8F3F-A0E9D625D73D}" name="Economia" totalsRowFunction="sum" dataDxfId="4">
      <calculatedColumnFormula>FEVEREIRO[[#This Row],[Valor Capa]]-FEVEREIRO[[#This Row],[Valor Pago]]</calculatedColumnFormula>
    </tableColumn>
    <tableColumn id="9" xr3:uid="{72470A51-F9CD-491F-8A5C-B41BD8A51417}" name="Tipo"/>
    <tableColumn id="7" xr3:uid="{AEF0DA2C-82A7-470B-8777-F2AA8166EE51}" name="Editora"/>
    <tableColumn id="8" xr3:uid="{8B8D5A40-B8A4-4FD8-A619-053079989B28}" name="Data" totalsRowFunction="count"/>
  </tableColumns>
  <tableStyleInfo name="TableStyleMedium5"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AFF6AEC9-6CC7-491B-A5B2-B648945A361E}" name="OUTUBRO" displayName="OUTUBR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8042367-5BE2-4B63-AA3D-1BAD5EDCE329}" name="ID" totalsRowLabel="Total"/>
    <tableColumn id="2" xr3:uid="{CD8D06F7-A9F4-40BE-927A-1E2C4641F018}" name="Título"/>
    <tableColumn id="3" xr3:uid="{02370588-EB40-4B20-B4A7-9C5B4E734DCA}" name="Páginas" totalsRowFunction="sum"/>
    <tableColumn id="4" xr3:uid="{C16934EC-1ADC-4F45-8E57-E9A86EB3E61A}" name="Valor Pago" totalsRowFunction="sum" dataCellStyle="Moeda"/>
    <tableColumn id="5" xr3:uid="{C6D9B271-C8AC-44FC-B41D-9FE957967109}" name="Valor Capa" totalsRowFunction="sum" dataCellStyle="Moeda"/>
    <tableColumn id="6" xr3:uid="{301E4521-6147-4D6A-BEF0-96141DD5EBF6}" name="Economia" totalsRowFunction="sum" dataDxfId="3">
      <calculatedColumnFormula>FEVEREIRO[[#This Row],[Valor Capa]]-FEVEREIRO[[#This Row],[Valor Pago]]</calculatedColumnFormula>
    </tableColumn>
    <tableColumn id="9" xr3:uid="{50107F97-2ED8-4A07-B4F7-9E8491711E0C}" name="Tipo"/>
    <tableColumn id="7" xr3:uid="{21348338-4819-4501-BADF-5A326DBF4905}" name="Editora"/>
    <tableColumn id="8" xr3:uid="{6B5DD6B5-FA7A-4032-8AEE-F26DF6AE0D0B}" name="Data" totalsRowFunction="count"/>
  </tableColumns>
  <tableStyleInfo name="TableStyleMedium5"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C3159A0-B8B0-4D56-B444-96ACCA4E5AF7}" name="NOVEMBRO" displayName="NOVEMBR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262C6C0-1308-4410-A920-C328BF62F025}" name="ID" totalsRowLabel="Total"/>
    <tableColumn id="2" xr3:uid="{BBB51400-68FB-4161-8339-596F71A84081}" name="Título"/>
    <tableColumn id="3" xr3:uid="{44EA7689-8D6D-49D6-91C5-2B29BE73F1FC}" name="Páginas" totalsRowFunction="sum"/>
    <tableColumn id="4" xr3:uid="{7221FCA1-3522-4608-B429-7DBB0811901D}" name="Valor Pago" totalsRowFunction="sum" dataCellStyle="Moeda"/>
    <tableColumn id="5" xr3:uid="{B6B59AFF-46F2-4742-A818-D245939E4540}" name="Valor Capa" totalsRowFunction="sum" dataCellStyle="Moeda"/>
    <tableColumn id="6" xr3:uid="{428FDFEE-18AB-4A66-BE59-875FF4F7F59B}" name="Economia" totalsRowFunction="sum" dataDxfId="2">
      <calculatedColumnFormula>FEVEREIRO[[#This Row],[Valor Capa]]-FEVEREIRO[[#This Row],[Valor Pago]]</calculatedColumnFormula>
    </tableColumn>
    <tableColumn id="9" xr3:uid="{D354BDD0-792E-4622-8DBB-BF9FC0B17A62}" name="Tipo"/>
    <tableColumn id="7" xr3:uid="{E5E13E6D-8E14-474E-A80D-175DE9A1E5DD}" name="Editora"/>
    <tableColumn id="8" xr3:uid="{F1E6879F-3AB4-42A8-8551-5448BA196760}" name="Data" totalsRowFunction="count"/>
  </tableColumns>
  <tableStyleInfo name="TableStyleMedium5"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D197975-9D92-4324-94C4-1DA73DEF0D9D}" name="DEZEMBRO" displayName="DEZEMBR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FD9B8FD-C454-4701-A507-1069AF4AB3D0}" name="ID" totalsRowLabel="Total"/>
    <tableColumn id="2" xr3:uid="{1FAB35A0-D0E4-4114-984F-4A3916087702}" name="Título"/>
    <tableColumn id="3" xr3:uid="{234C0334-0DCF-4171-AD0B-E1F9CC282F99}" name="Páginas" totalsRowFunction="sum"/>
    <tableColumn id="4" xr3:uid="{28404160-BDAB-4888-B4BF-912F62519417}" name="Valor Pago" totalsRowFunction="sum" dataCellStyle="Moeda"/>
    <tableColumn id="5" xr3:uid="{7B24FC20-2493-4AED-A622-28F56A4EB568}" name="Valor Capa" totalsRowFunction="sum" dataCellStyle="Moeda"/>
    <tableColumn id="6" xr3:uid="{F93A8272-A8F5-4579-B1A1-F76C999794CC}" name="Economia" totalsRowFunction="sum" dataDxfId="1">
      <calculatedColumnFormula>FEVEREIRO[[#This Row],[Valor Capa]]-FEVEREIRO[[#This Row],[Valor Pago]]</calculatedColumnFormula>
    </tableColumn>
    <tableColumn id="9" xr3:uid="{6213944D-7CE5-420E-9301-827E42BB65EE}" name="Tipo"/>
    <tableColumn id="7" xr3:uid="{6C8B499C-7D1D-41E0-B2E0-C644D87AF883}" name="Editora"/>
    <tableColumn id="8" xr3:uid="{C73D95B9-EE33-45F0-92AC-5ECC0DA4D86F}" name="Data" totalsRowFunction="count"/>
  </tableColumns>
  <tableStyleInfo name="TableStyleMedium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4C9DDC-530B-40E7-9649-A3C8571239B7}" name="JANEIRO" displayName="JANEIRO" ref="A1:I4" totalsRowCount="1">
  <autoFilter ref="A1:I3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A8081134-3DDB-483A-A170-5A5023C7C6D2}" name="ID" totalsRowLabel="Total"/>
    <tableColumn id="2" xr3:uid="{D55924D1-79BE-4505-A9DF-1B7731FB5FAB}" name="Título"/>
    <tableColumn id="3" xr3:uid="{402445BA-145A-4D1D-B3E4-B1034D3719CB}" name="Páginas" totalsRowFunction="sum"/>
    <tableColumn id="4" xr3:uid="{26259847-B44F-4CEB-8821-5758A4B48692}" name="Valor Pago" totalsRowFunction="sum" totalsRowDxfId="15" dataCellStyle="Moeda"/>
    <tableColumn id="5" xr3:uid="{ADFFF1DA-4FF1-42E1-ADE8-AB705E3DF72F}" name="Valor Capa" totalsRowFunction="sum" totalsRowDxfId="14" dataCellStyle="Moeda"/>
    <tableColumn id="6" xr3:uid="{D7A7935D-3F2D-4068-AFCD-441B5FB992A5}" name="Economia" totalsRowFunction="sum">
      <calculatedColumnFormula>JANEIRO[[#This Row],[Valor Capa]]-JANEIRO[[#This Row],[Valor Pago]]</calculatedColumnFormula>
    </tableColumn>
    <tableColumn id="9" xr3:uid="{A4E5F207-9B70-4484-B2EC-E27A0D2E1DFB}" name="Tipo"/>
    <tableColumn id="7" xr3:uid="{C9BC436F-A042-4170-8BCC-9B5132B9D18C}" name="Editora"/>
    <tableColumn id="8" xr3:uid="{635BAF2E-7812-4905-ABE7-2936014F9971}" name="Data" totalsRowFunction="count"/>
  </tableColumns>
  <tableStyleInfo name="TableStyleMedium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14F746-68AD-4632-932C-84D814823086}" name="FEVEREIRO" displayName="FEVEREIR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A18C3E4-BA5C-4366-A6E5-43BBAC68D6E6}" name="ID" totalsRowLabel="Total"/>
    <tableColumn id="2" xr3:uid="{E485E0D1-27C7-4AAB-B72D-D93D9749D41B}" name="Título"/>
    <tableColumn id="3" xr3:uid="{FB5825BB-FEE8-42E0-829A-1BA454B6A915}" name="Páginas" totalsRowFunction="sum"/>
    <tableColumn id="4" xr3:uid="{44BF1B84-A404-4F38-8E8B-5AF6FE76B0C5}" name="Valor Pago" totalsRowFunction="sum" totalsRowDxfId="13" dataCellStyle="Moeda" totalsRowCellStyle="Moeda"/>
    <tableColumn id="5" xr3:uid="{8D3995F3-53F0-46AC-A3D8-ED728B066F87}" name="Valor Capa" totalsRowFunction="sum" totalsRowDxfId="0" dataCellStyle="Moeda" totalsRowCellStyle="Moeda"/>
    <tableColumn id="6" xr3:uid="{09D7B451-5170-4143-BBAE-CB2765709F46}" name="Economia" totalsRowFunction="sum">
      <calculatedColumnFormula>FEVEREIRO[[#This Row],[Valor Capa]]-FEVEREIRO[[#This Row],[Valor Pago]]</calculatedColumnFormula>
    </tableColumn>
    <tableColumn id="9" xr3:uid="{3C64BD5C-33CD-449E-8069-37B0924B5A1A}" name="Tipo"/>
    <tableColumn id="7" xr3:uid="{AAA0F83C-FCB5-418B-8787-26617BE8FC7A}" name="Editora"/>
    <tableColumn id="8" xr3:uid="{56BF04E9-C3A5-45C5-9B3A-3F429B70D283}" name="Data" totalsRowFunction="count"/>
  </tableColumns>
  <tableStyleInfo name="TableStyleMedium5"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271FE22-E374-4021-9218-217EBDEB1109}" name="MARÇO" displayName="MARÇ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633525A-12F7-4A6B-9DEF-F87E8AADF441}" name="ID" totalsRowLabel="Total"/>
    <tableColumn id="2" xr3:uid="{A2EF3553-51E8-4D43-BFD2-DFDC54B2073B}" name="Título"/>
    <tableColumn id="3" xr3:uid="{EF2654FA-99D9-4136-A7A0-B8C96C9E1B53}" name="Páginas" totalsRowFunction="sum"/>
    <tableColumn id="4" xr3:uid="{147C27E8-F762-4549-9B61-AAA1C1CE138D}" name="Valor Pago" totalsRowFunction="sum" dataCellStyle="Moeda"/>
    <tableColumn id="5" xr3:uid="{6643B957-924D-4B4A-A9D0-CE4588B3E4C7}" name="Valor Capa" totalsRowFunction="sum" dataCellStyle="Moeda"/>
    <tableColumn id="6" xr3:uid="{427A977B-2C17-407D-B524-245FAC80CC74}" name="Economia" totalsRowFunction="sum" dataDxfId="12">
      <calculatedColumnFormula>FEVEREIRO[[#This Row],[Valor Capa]]-FEVEREIRO[[#This Row],[Valor Pago]]</calculatedColumnFormula>
    </tableColumn>
    <tableColumn id="9" xr3:uid="{445DA20B-C887-4812-9E48-2086262FD296}" name="Tipo"/>
    <tableColumn id="7" xr3:uid="{AA02C085-EFA3-499B-9814-AFB1B39C874A}" name="Editora"/>
    <tableColumn id="8" xr3:uid="{101C3DE2-52F3-4E87-84E5-6B2BA241C6C9}" name="Data" totalsRowFunction="count"/>
  </tableColumns>
  <tableStyleInfo name="TableStyleMedium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3FFAAE-DAAA-43C4-A06A-AE2571476652}" name="ABRIL" displayName="ABRIL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64CFEAD5-1CEE-40FE-9E88-D8F360493C17}" name="ID" totalsRowLabel="Total"/>
    <tableColumn id="2" xr3:uid="{958819F4-579D-4753-8DE1-15D1BA4FD2F3}" name="Título"/>
    <tableColumn id="3" xr3:uid="{B05BD4BC-516B-46D1-95B1-2DAB73849486}" name="Páginas" totalsRowFunction="sum"/>
    <tableColumn id="4" xr3:uid="{F4B5452C-8D2F-4EC7-AC27-6BA948F3CC87}" name="Valor Pago" totalsRowFunction="sum" dataCellStyle="Moeda"/>
    <tableColumn id="5" xr3:uid="{9BA3CD17-49D7-41ED-AFFD-42633662E60B}" name="Valor Capa" totalsRowFunction="sum" dataCellStyle="Moeda"/>
    <tableColumn id="6" xr3:uid="{E5E917E2-0D3E-4FBF-A163-69F159908E67}" name="Economia" totalsRowFunction="sum" dataDxfId="11">
      <calculatedColumnFormula>FEVEREIRO[[#This Row],[Valor Capa]]-FEVEREIRO[[#This Row],[Valor Pago]]</calculatedColumnFormula>
    </tableColumn>
    <tableColumn id="9" xr3:uid="{7046AB17-E595-4FCD-8C6C-393C58C208AD}" name="Tipo"/>
    <tableColumn id="7" xr3:uid="{C8B4D223-417C-4DD1-B874-79CF348B9791}" name="Editora"/>
    <tableColumn id="8" xr3:uid="{5A927BF7-EC3A-4400-8C1D-CCF5D56AEC8A}" name="Data" totalsRowFunction="count"/>
  </tableColumns>
  <tableStyleInfo name="TableStyleMedium5"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9976E43-B436-4617-82B7-22EF7C405420}" name="MAIO" displayName="MAI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D56C7504-3C71-49C4-B4E6-96DBF5E18B29}" name="ID" totalsRowLabel="Total"/>
    <tableColumn id="2" xr3:uid="{19311D85-46C5-4123-B40C-F5FE7D248A52}" name="Título"/>
    <tableColumn id="3" xr3:uid="{E8CA9CF8-2FF9-452E-9F08-9EF8A9706CA7}" name="Páginas" totalsRowFunction="sum"/>
    <tableColumn id="4" xr3:uid="{D0C462DB-3B6C-479C-90A8-B9E2FF97A2FA}" name="Valor Pago" totalsRowFunction="sum" dataCellStyle="Moeda"/>
    <tableColumn id="5" xr3:uid="{1B7B93E5-5E55-4DE1-A467-BBF5F1869F15}" name="Valor Capa" totalsRowFunction="sum" dataCellStyle="Moeda"/>
    <tableColumn id="6" xr3:uid="{60E5A589-C3F8-47AD-B824-15756C86D3F0}" name="Economia" totalsRowFunction="sum" dataDxfId="10">
      <calculatedColumnFormula>FEVEREIRO[[#This Row],[Valor Capa]]-FEVEREIRO[[#This Row],[Valor Pago]]</calculatedColumnFormula>
    </tableColumn>
    <tableColumn id="9" xr3:uid="{937FB5EA-E992-4F2C-BCA2-6842241F5B8D}" name="Tipo"/>
    <tableColumn id="7" xr3:uid="{A03161DD-8F00-432D-BBFC-5431432DF8BC}" name="Editora"/>
    <tableColumn id="8" xr3:uid="{A090A8FD-6267-47A7-A6D1-CEDBC51C977E}" name="Data" totalsRowFunction="count"/>
  </tableColumns>
  <tableStyleInfo name="TableStyleMedium5"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91B3875-75F4-4DA0-B4AB-2B81380FEBFD}" name="JUNHO" displayName="JUNH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D403936C-7C4E-4B6A-A45C-C4AE740657EB}" name="ID" totalsRowLabel="Total"/>
    <tableColumn id="2" xr3:uid="{0ACA0C28-A1A9-44B3-9CAC-8EA9EAD2620D}" name="Título"/>
    <tableColumn id="3" xr3:uid="{006988E7-0088-4D36-83B7-AB5A3B313F03}" name="Páginas" totalsRowFunction="sum"/>
    <tableColumn id="4" xr3:uid="{E17B5C05-314F-4263-B386-7434C7A00126}" name="Valor Pago" totalsRowFunction="sum" dataCellStyle="Moeda"/>
    <tableColumn id="5" xr3:uid="{191AD42A-565B-4CE5-88C5-906906653F02}" name="Valor Capa" totalsRowFunction="sum" dataCellStyle="Moeda"/>
    <tableColumn id="6" xr3:uid="{878240F6-869B-45F0-98A8-9089B1CAD17E}" name="Economia" totalsRowFunction="sum" dataDxfId="9">
      <calculatedColumnFormula>FEVEREIRO[[#This Row],[Valor Capa]]-FEVEREIRO[[#This Row],[Valor Pago]]</calculatedColumnFormula>
    </tableColumn>
    <tableColumn id="9" xr3:uid="{0620A50D-F0FA-45F5-A85C-305184853FDC}" name="Tipo"/>
    <tableColumn id="7" xr3:uid="{4722C639-8A02-42D1-AC60-0870A4A3A86A}" name="Editora"/>
    <tableColumn id="8" xr3:uid="{72D7FBCB-A60D-40AB-9080-8521CAF87EE4}" name="Data" totalsRowFunction="count"/>
  </tableColumns>
  <tableStyleInfo name="TableStyleMedium5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3E77A05-57F4-4F92-8477-228834E58E5B}" name="JULHO" displayName="JULH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AECE17F-12F3-4B0C-BBD8-1D1C80FB582F}" name="ID" totalsRowLabel="Total"/>
    <tableColumn id="2" xr3:uid="{D1A60CFE-5EF6-4860-8783-CD3B21A46675}" name="Título"/>
    <tableColumn id="3" xr3:uid="{68F082DF-A513-49B0-85B5-EA11ACE5545A}" name="Páginas" totalsRowFunction="sum"/>
    <tableColumn id="4" xr3:uid="{F35A48B6-7F71-4FC3-B0D7-B9CA3357271C}" name="Valor Pago" totalsRowFunction="sum" totalsRowDxfId="7" dataCellStyle="Moeda" totalsRowCellStyle="Moeda"/>
    <tableColumn id="5" xr3:uid="{A80E01D7-50C0-4D98-91B2-F777B18BE66B}" name="Valor Capa" totalsRowFunction="sum" totalsRowDxfId="6" dataCellStyle="Moeda" totalsRowCellStyle="Moeda"/>
    <tableColumn id="6" xr3:uid="{A7E1F1D7-AFF6-4355-A1A9-6D0638DD2750}" name="Economia" totalsRowFunction="sum" dataDxfId="8">
      <calculatedColumnFormula>FEVEREIRO[[#This Row],[Valor Capa]]-FEVEREIRO[[#This Row],[Valor Pago]]</calculatedColumnFormula>
    </tableColumn>
    <tableColumn id="9" xr3:uid="{B7FC9A0C-7108-4117-8EEB-614E315EA97B}" name="Tipo"/>
    <tableColumn id="7" xr3:uid="{D6FB2B8D-A570-4498-8E25-88A984E13546}" name="Editora"/>
    <tableColumn id="8" xr3:uid="{9B7462CF-CD21-40DF-95BF-185115E6D8DC}" name="Data" totalsRowFunction="count"/>
  </tableColumns>
  <tableStyleInfo name="TableStyleMedium5"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4CF5C4A-FD10-464D-A1DC-707A950B2BDF}" name="AGOSTO" displayName="AGOSTO" ref="A1:I3" totalsRowCount="1">
  <autoFilter ref="A1:I2" xr:uid="{724C9DDC-530B-40E7-9649-A3C8571239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4546A29-46E5-4FD3-87DF-AB7757714022}" name="ID" totalsRowLabel="Total"/>
    <tableColumn id="2" xr3:uid="{3B52CB00-D056-4BD7-9F51-02BD777EABDE}" name="Título"/>
    <tableColumn id="3" xr3:uid="{7E1551B7-3C56-41EE-A7DE-F5452284920D}" name="Páginas" totalsRowFunction="sum"/>
    <tableColumn id="4" xr3:uid="{CA0879F9-7CB0-4104-BF83-8C0C0D7EC4A5}" name="Valor Pago" totalsRowFunction="sum" dataCellStyle="Moeda"/>
    <tableColumn id="5" xr3:uid="{7783D490-EBAE-4820-AD23-444AAC287CD8}" name="Valor Capa" totalsRowFunction="sum" dataCellStyle="Moeda"/>
    <tableColumn id="6" xr3:uid="{69EEC3F9-80F8-467F-9AC7-7A3CA553632B}" name="Economia" totalsRowFunction="sum" dataDxfId="5">
      <calculatedColumnFormula>FEVEREIRO[[#This Row],[Valor Capa]]-FEVEREIRO[[#This Row],[Valor Pago]]</calculatedColumnFormula>
    </tableColumn>
    <tableColumn id="9" xr3:uid="{C2BE7AD9-8097-40C9-A494-9442BC8702C0}" name="Tipo"/>
    <tableColumn id="7" xr3:uid="{167B76C2-4769-4BD8-9230-724EACFF47AF}" name="Editora"/>
    <tableColumn id="8" xr3:uid="{23603208-A7C9-4916-968C-37E2A5991EB1}" name="Data" totalsRowFunction="count"/>
  </tableColumns>
  <tableStyleInfo name="TableStyleMedium5" showFirstColumn="1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446E3-17EE-417D-962D-CDDD3167EEEE}">
  <dimension ref="A1:K3"/>
  <sheetViews>
    <sheetView workbookViewId="0">
      <selection activeCell="J21" sqref="J21"/>
    </sheetView>
  </sheetViews>
  <sheetFormatPr defaultRowHeight="15" x14ac:dyDescent="0.25"/>
  <cols>
    <col min="2" max="2" width="12.7109375" bestFit="1" customWidth="1"/>
    <col min="3" max="3" width="10.28515625" customWidth="1"/>
    <col min="4" max="4" width="9.42578125" customWidth="1"/>
    <col min="6" max="6" width="12.7109375" style="69" customWidth="1"/>
    <col min="7" max="7" width="12.85546875" style="69" customWidth="1"/>
    <col min="8" max="9" width="12" customWidth="1"/>
    <col min="10" max="10" width="16.5703125" customWidth="1"/>
    <col min="11" max="11" width="16.855468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69" t="s">
        <v>5</v>
      </c>
      <c r="G1" s="69" t="s">
        <v>6</v>
      </c>
      <c r="H1" t="s">
        <v>7</v>
      </c>
      <c r="I1" t="s">
        <v>36</v>
      </c>
      <c r="J1" t="s">
        <v>37</v>
      </c>
      <c r="K1" t="s">
        <v>8</v>
      </c>
    </row>
    <row r="2" spans="1:11" x14ac:dyDescent="0.25">
      <c r="H2" s="70"/>
    </row>
    <row r="3" spans="1:11" x14ac:dyDescent="0.25">
      <c r="A3" t="s">
        <v>9</v>
      </c>
      <c r="K3">
        <f>SUBTOTAL(103,Tabela1[Observações])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9C755-5278-4CE9-8C53-BF7AA1F710A5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SUBTOTAL(109,AGOSTO[Páginas])</f>
        <v>0</v>
      </c>
      <c r="D3" s="70">
        <f>SUBTOTAL(109,AGOSTO[Valor Pago])</f>
        <v>0</v>
      </c>
      <c r="E3" s="70">
        <f>SUBTOTAL(109,AGOSTO[Valor Capa])</f>
        <v>0</v>
      </c>
      <c r="F3" s="70">
        <f>SUBTOTAL(109,AGOSTO[Economia])</f>
        <v>0</v>
      </c>
      <c r="I3">
        <f>SUBTOTAL(103,AGOSTO[Data])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CDCB1-6605-4C48-933B-BDA873BD191C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SUBTOTAL(109,SETEMBRO[Páginas])</f>
        <v>0</v>
      </c>
      <c r="D3" s="70">
        <f>SUBTOTAL(109,SETEMBRO[Valor Pago])</f>
        <v>0</v>
      </c>
      <c r="E3" s="70">
        <f>SUBTOTAL(109,SETEMBRO[Valor Capa])</f>
        <v>0</v>
      </c>
      <c r="F3" s="70">
        <f>SUBTOTAL(109,SETEMBRO[Economia])</f>
        <v>0</v>
      </c>
      <c r="I3">
        <f>SUBTOTAL(103,SETEMBRO[Data])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B3FD7-D9D2-4A9B-8370-65D59DE56940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SUBTOTAL(109,OUTUBRO[Páginas])</f>
        <v>0</v>
      </c>
      <c r="D3" s="70">
        <f>SUBTOTAL(109,OUTUBRO[Valor Pago])</f>
        <v>0</v>
      </c>
      <c r="E3" s="70">
        <f>SUBTOTAL(109,OUTUBRO[Valor Capa])</f>
        <v>0</v>
      </c>
      <c r="F3" s="70">
        <f>SUBTOTAL(109,OUTUBRO[Economia])</f>
        <v>0</v>
      </c>
      <c r="I3">
        <f>SUBTOTAL(103,OUTUBRO[Data])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4798B-EB6D-4078-A3D8-29BEBDAB420C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SUBTOTAL(109,NOVEMBRO[Páginas])</f>
        <v>0</v>
      </c>
      <c r="D3" s="70">
        <f>SUBTOTAL(109,NOVEMBRO[Valor Pago])</f>
        <v>0</v>
      </c>
      <c r="E3" s="70">
        <f>SUBTOTAL(109,NOVEMBRO[Valor Capa])</f>
        <v>0</v>
      </c>
      <c r="F3" s="70">
        <f>SUBTOTAL(109,NOVEMBRO[Economia])</f>
        <v>0</v>
      </c>
      <c r="I3">
        <f>SUBTOTAL(103,NOVEMBRO[Data])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7B591-84D2-449B-A428-C421BBE4B677}">
  <sheetPr>
    <tabColor theme="5" tint="0.59999389629810485"/>
  </sheetPr>
  <dimension ref="A1:I3"/>
  <sheetViews>
    <sheetView workbookViewId="0">
      <selection activeCell="H21" sqref="H21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SUBTOTAL(109,DEZEMBRO[Páginas])</f>
        <v>0</v>
      </c>
      <c r="D3" s="70">
        <f>SUBTOTAL(109,DEZEMBRO[Valor Pago])</f>
        <v>0</v>
      </c>
      <c r="E3" s="70">
        <f>SUBTOTAL(109,DEZEMBRO[Valor Capa])</f>
        <v>0</v>
      </c>
      <c r="F3" s="70">
        <f>SUBTOTAL(109,DEZEMBRO[Economia])</f>
        <v>0</v>
      </c>
      <c r="I3">
        <f>SUBTOTAL(103,DEZEMBRO[Data])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C21A9-5DB9-4731-BF7C-D89F10339499}">
  <dimension ref="A1:N8"/>
  <sheetViews>
    <sheetView tabSelected="1" workbookViewId="0">
      <selection activeCell="A3" sqref="A3"/>
    </sheetView>
  </sheetViews>
  <sheetFormatPr defaultRowHeight="15" x14ac:dyDescent="0.25"/>
  <cols>
    <col min="1" max="1" width="17.5703125" bestFit="1" customWidth="1"/>
    <col min="2" max="14" width="17.7109375" style="20" customWidth="1"/>
  </cols>
  <sheetData>
    <row r="1" spans="1:14" s="1" customFormat="1" ht="24" x14ac:dyDescent="0.25">
      <c r="A1" s="35">
        <v>2026</v>
      </c>
      <c r="B1" s="36" t="s">
        <v>24</v>
      </c>
      <c r="C1" s="36" t="s">
        <v>25</v>
      </c>
      <c r="D1" s="36" t="s">
        <v>26</v>
      </c>
      <c r="E1" s="36" t="s">
        <v>27</v>
      </c>
      <c r="F1" s="36" t="s">
        <v>28</v>
      </c>
      <c r="G1" s="36" t="s">
        <v>29</v>
      </c>
      <c r="H1" s="36" t="s">
        <v>30</v>
      </c>
      <c r="I1" s="36" t="s">
        <v>31</v>
      </c>
      <c r="J1" s="36" t="s">
        <v>32</v>
      </c>
      <c r="K1" s="36" t="s">
        <v>33</v>
      </c>
      <c r="L1" s="36" t="s">
        <v>34</v>
      </c>
      <c r="M1" s="36" t="s">
        <v>35</v>
      </c>
      <c r="N1" s="37" t="s">
        <v>40</v>
      </c>
    </row>
    <row r="2" spans="1:14" ht="24" x14ac:dyDescent="0.4">
      <c r="A2" s="28" t="s">
        <v>39</v>
      </c>
      <c r="B2" s="22">
        <f>COUNTIFS(Tabela1[[#This Row],[Mês]],"Janeiro")</f>
        <v>0</v>
      </c>
      <c r="C2" s="22">
        <f>COUNTIFS(Tabela1[[#This Row],[Observações]],"Fevereiro")</f>
        <v>0</v>
      </c>
      <c r="D2" s="22">
        <f>COUNTIFS(Tabela1[[#This Row],[ID]],"Março")</f>
        <v>0</v>
      </c>
      <c r="E2" s="22">
        <f>COUNTIFS(Tabela1[[#This Row],[Título]],"Abril")</f>
        <v>0</v>
      </c>
      <c r="F2" s="22">
        <f>COUNTIFS(Tabela1[[#This Row],[Páginas]],"Maio")</f>
        <v>0</v>
      </c>
      <c r="G2" s="22">
        <f>COUNTIFS(Tabela1[[#This Row],[Editora]],"Junho")</f>
        <v>0</v>
      </c>
      <c r="H2" s="22">
        <f>COUNTIFS(Tabela1[[#This Row],[Loja]],"Julho")</f>
        <v>0</v>
      </c>
      <c r="I2" s="22">
        <f>COUNTIFS(Tabela1[[#This Row],[Valor Pago]],"Agosto")</f>
        <v>0</v>
      </c>
      <c r="J2" s="22">
        <f>COUNTIFS(Tabela1[[#This Row],[Valor Capa]],"Setembro")</f>
        <v>0</v>
      </c>
      <c r="K2" s="22">
        <f>COUNTIFS(Tabela1[[#This Row],[Economia]],"Outubro")</f>
        <v>0</v>
      </c>
      <c r="L2" s="22">
        <f>COUNTIFS(Tabela1[[#This Row],[dia]],"Novembro")</f>
        <v>0</v>
      </c>
      <c r="M2" s="22">
        <f>COUNTIFS(Tabela1[[#This Row],[Mês]],"Dezembro")</f>
        <v>0</v>
      </c>
      <c r="N2" s="29">
        <f t="shared" ref="N2:N8" si="0">SUM(B2:M2)</f>
        <v>0</v>
      </c>
    </row>
    <row r="3" spans="1:14" ht="24" x14ac:dyDescent="0.4">
      <c r="A3" s="26" t="s">
        <v>42</v>
      </c>
      <c r="B3" s="71">
        <f>SUMIFS(Tabela1[[#All],[Valor Pago]],Tabela1[[#All],[Mês]],B1)</f>
        <v>0</v>
      </c>
      <c r="C3" s="21">
        <f>SUMIFS(Tabela1[[#All],[Valor Pago]],Tabela1[[#All],[Mês]],C1)</f>
        <v>0</v>
      </c>
      <c r="D3" s="21">
        <f>SUMIFS(Tabela1[[#All],[Valor Pago]],Tabela1[[#All],[Mês]],D1)</f>
        <v>0</v>
      </c>
      <c r="E3" s="21">
        <f>SUMIFS(Tabela1[[#All],[Valor Pago]],Tabela1[[#All],[Mês]],E1)</f>
        <v>0</v>
      </c>
      <c r="F3" s="21">
        <f>SUMIFS(Tabela1[[#All],[Valor Pago]],Tabela1[[#All],[Mês]],F1)</f>
        <v>0</v>
      </c>
      <c r="G3" s="21">
        <f>SUMIFS(Tabela1[[#All],[Valor Pago]],Tabela1[[#All],[Mês]],G1)</f>
        <v>0</v>
      </c>
      <c r="H3" s="21">
        <f>SUMIFS(Tabela1[[#All],[Valor Pago]],Tabela1[[#All],[Mês]],H1)</f>
        <v>0</v>
      </c>
      <c r="I3" s="21">
        <f>SUMIFS(Tabela1[[#All],[Valor Pago]],Tabela1[[#All],[Mês]],I1)</f>
        <v>0</v>
      </c>
      <c r="J3" s="21">
        <f>SUMIFS(Tabela1[[#All],[Valor Pago]],Tabela1[[#All],[Mês]],J1)</f>
        <v>0</v>
      </c>
      <c r="K3" s="21">
        <f>SUMIFS(Tabela1[[#All],[Valor Pago]],Tabela1[[#All],[Mês]],K1)</f>
        <v>0</v>
      </c>
      <c r="L3" s="21">
        <f>SUMIFS(Tabela1[[#All],[Valor Pago]],Tabela1[[#All],[Mês]],L1)</f>
        <v>0</v>
      </c>
      <c r="M3" s="21">
        <f>SUMIFS(Tabela1[[#All],[Valor Pago]],Tabela1[[#All],[Mês]],M1)</f>
        <v>0</v>
      </c>
      <c r="N3" s="72">
        <f t="shared" si="0"/>
        <v>0</v>
      </c>
    </row>
    <row r="4" spans="1:14" ht="24" x14ac:dyDescent="0.4">
      <c r="A4" s="28" t="s">
        <v>38</v>
      </c>
      <c r="B4" s="22">
        <f>JANEIRO[[#Totals],[Data]]</f>
        <v>0</v>
      </c>
      <c r="C4" s="22">
        <f>FEVEREIRO[[#Totals],[Data]]</f>
        <v>0</v>
      </c>
      <c r="D4" s="22">
        <f>MARÇO[[#Totals],[Data]]</f>
        <v>0</v>
      </c>
      <c r="E4" s="22">
        <f>ABRIL[[#Totals],[Data]]</f>
        <v>0</v>
      </c>
      <c r="F4" s="22">
        <f>MAIO[[#Totals],[Data]]</f>
        <v>0</v>
      </c>
      <c r="G4" s="22">
        <f>JUNHO[[#Totals],[Data]]</f>
        <v>0</v>
      </c>
      <c r="H4" s="22">
        <f>JULHO[[#Totals],[Data]]</f>
        <v>0</v>
      </c>
      <c r="I4" s="22">
        <f>AGOSTO[[#Totals],[Data]]</f>
        <v>0</v>
      </c>
      <c r="J4" s="22">
        <f>SETEMBRO[[#Totals],[Data]]</f>
        <v>0</v>
      </c>
      <c r="K4" s="22">
        <f>OUTUBRO[[#Totals],[Data]]</f>
        <v>0</v>
      </c>
      <c r="L4" s="22">
        <f>NOVEMBRO[[#Totals],[Data]]</f>
        <v>0</v>
      </c>
      <c r="M4" s="22">
        <f>DEZEMBRO[[#Totals],[Data]]</f>
        <v>0</v>
      </c>
      <c r="N4" s="29">
        <f t="shared" si="0"/>
        <v>0</v>
      </c>
    </row>
    <row r="5" spans="1:14" ht="24" x14ac:dyDescent="0.4">
      <c r="A5" s="26" t="s">
        <v>2</v>
      </c>
      <c r="B5" s="21">
        <f>JANEIRO[[#Totals],[Páginas]]</f>
        <v>0</v>
      </c>
      <c r="C5" s="21">
        <f>FEVEREIRO[[#Totals],[Páginas]]</f>
        <v>0</v>
      </c>
      <c r="D5" s="21">
        <f>MARÇO[[#Totals],[Páginas]]</f>
        <v>0</v>
      </c>
      <c r="E5" s="21">
        <f>ABRIL[[#Totals],[Páginas]]</f>
        <v>0</v>
      </c>
      <c r="F5" s="21">
        <f>MAIO[[#Totals],[Páginas]]</f>
        <v>0</v>
      </c>
      <c r="G5" s="21">
        <f>JUNHO[[#Totals],[Páginas]]</f>
        <v>0</v>
      </c>
      <c r="H5" s="21">
        <f>JULHO[[#Totals],[Páginas]]</f>
        <v>0</v>
      </c>
      <c r="I5" s="21">
        <f>AGOSTO[[#Totals],[Páginas]]</f>
        <v>0</v>
      </c>
      <c r="J5" s="21">
        <f>SETEMBRO[[#Totals],[Páginas]]</f>
        <v>0</v>
      </c>
      <c r="K5" s="21">
        <f>OUTUBRO[[#Totals],[Páginas]]</f>
        <v>0</v>
      </c>
      <c r="L5" s="21">
        <f>NOVEMBRO[[#Totals],[Páginas]]</f>
        <v>0</v>
      </c>
      <c r="M5" s="21">
        <f>DEZEMBRO[[#Totals],[Páginas]]</f>
        <v>0</v>
      </c>
      <c r="N5" s="27">
        <f t="shared" si="0"/>
        <v>0</v>
      </c>
    </row>
    <row r="6" spans="1:14" ht="24" x14ac:dyDescent="0.4">
      <c r="A6" s="28" t="s">
        <v>46</v>
      </c>
      <c r="B6" s="23">
        <f>JANEIRO[[#Totals],[Valor Pago]]</f>
        <v>0</v>
      </c>
      <c r="C6" s="24" cm="1">
        <f t="array" aca="1" ref="C6" ca="1">INDIRECT(C1&amp;"[[#Totais];[Valor Pago]]")</f>
        <v>0</v>
      </c>
      <c r="D6" s="24" cm="1">
        <f t="array" aca="1" ref="D6" ca="1">INDIRECT(D1&amp;"[[#Totais];[Valor Pago]]")</f>
        <v>0</v>
      </c>
      <c r="E6" s="24" cm="1">
        <f t="array" aca="1" ref="E6" ca="1">INDIRECT(E1&amp;"[[#Totais];[Valor Pago]]")</f>
        <v>0</v>
      </c>
      <c r="F6" s="24" cm="1">
        <f t="array" aca="1" ref="F6" ca="1">INDIRECT(F1&amp;"[[#Totais];[Valor Pago]]")</f>
        <v>0</v>
      </c>
      <c r="G6" s="24" cm="1">
        <f t="array" aca="1" ref="G6" ca="1">INDIRECT(G1&amp;"[[#Totais];[Valor Pago]]")</f>
        <v>0</v>
      </c>
      <c r="H6" s="24" cm="1">
        <f t="array" aca="1" ref="H6" ca="1">INDIRECT(H1&amp;"[[#Totais];[Valor Pago]]")</f>
        <v>0</v>
      </c>
      <c r="I6" s="24" cm="1">
        <f t="array" aca="1" ref="I6" ca="1">INDIRECT(I1&amp;"[[#Totais];[Valor Pago]]")</f>
        <v>0</v>
      </c>
      <c r="J6" s="24" cm="1">
        <f t="array" aca="1" ref="J6" ca="1">INDIRECT(J1&amp;"[[#Totais];[Valor Pago]]")</f>
        <v>0</v>
      </c>
      <c r="K6" s="24" cm="1">
        <f t="array" aca="1" ref="K6" ca="1">INDIRECT(K1&amp;"[[#Totais];[Valor Pago]]")</f>
        <v>0</v>
      </c>
      <c r="L6" s="24" cm="1">
        <f t="array" aca="1" ref="L6" ca="1">INDIRECT(L1&amp;"[[#Totais];[Valor Pago]]")</f>
        <v>0</v>
      </c>
      <c r="M6" s="24" cm="1">
        <f t="array" aca="1" ref="M6" ca="1">INDIRECT(M1&amp;"[[#Totais];[Valor Pago]]")</f>
        <v>0</v>
      </c>
      <c r="N6" s="30">
        <f t="shared" ca="1" si="0"/>
        <v>0</v>
      </c>
    </row>
    <row r="7" spans="1:14" ht="24" x14ac:dyDescent="0.4">
      <c r="A7" s="26" t="s">
        <v>47</v>
      </c>
      <c r="B7" s="25" cm="1">
        <f t="array" aca="1" ref="B7" ca="1">INDIRECT(B1 &amp; "[[#Totais];[Valor Capa]]")</f>
        <v>0</v>
      </c>
      <c r="C7" s="25" cm="1">
        <f t="array" aca="1" ref="C7" ca="1">INDIRECT(C1 &amp; "[[#Totais];[Valor Capa]]")</f>
        <v>0</v>
      </c>
      <c r="D7" s="25" cm="1">
        <f t="array" aca="1" ref="D7" ca="1">INDIRECT(D1 &amp; "[[#Totais];[Valor Capa]]")</f>
        <v>0</v>
      </c>
      <c r="E7" s="25" cm="1">
        <f t="array" aca="1" ref="E7" ca="1">INDIRECT(E1 &amp; "[[#Totais];[Valor Capa]]")</f>
        <v>0</v>
      </c>
      <c r="F7" s="25" cm="1">
        <f t="array" aca="1" ref="F7" ca="1">INDIRECT(F1 &amp; "[[#Totais];[Valor Capa]]")</f>
        <v>0</v>
      </c>
      <c r="G7" s="25" cm="1">
        <f t="array" aca="1" ref="G7" ca="1">INDIRECT(G1 &amp; "[[#Totais];[Valor Capa]]")</f>
        <v>0</v>
      </c>
      <c r="H7" s="25" cm="1">
        <f t="array" aca="1" ref="H7" ca="1">INDIRECT(H1 &amp; "[[#Totais];[Valor Capa]]")</f>
        <v>0</v>
      </c>
      <c r="I7" s="25" cm="1">
        <f t="array" aca="1" ref="I7" ca="1">INDIRECT(I1 &amp; "[[#Totais];[Valor Capa]]")</f>
        <v>0</v>
      </c>
      <c r="J7" s="25" cm="1">
        <f t="array" aca="1" ref="J7" ca="1">INDIRECT(J1 &amp; "[[#Totais];[Valor Capa]]")</f>
        <v>0</v>
      </c>
      <c r="K7" s="25" cm="1">
        <f t="array" aca="1" ref="K7" ca="1">INDIRECT(K1 &amp; "[[#Totais];[Valor Capa]]")</f>
        <v>0</v>
      </c>
      <c r="L7" s="25" cm="1">
        <f t="array" aca="1" ref="L7" ca="1">INDIRECT(L1 &amp; "[[#Totais];[Valor Capa]]")</f>
        <v>0</v>
      </c>
      <c r="M7" s="25" cm="1">
        <f t="array" aca="1" ref="M7" ca="1">INDIRECT(M1 &amp; "[[#Totais];[Valor Capa]]")</f>
        <v>0</v>
      </c>
      <c r="N7" s="31">
        <f t="shared" ca="1" si="0"/>
        <v>0</v>
      </c>
    </row>
    <row r="8" spans="1:14" ht="24.75" thickBot="1" x14ac:dyDescent="0.45">
      <c r="A8" s="32" t="s">
        <v>7</v>
      </c>
      <c r="B8" s="33">
        <f ca="1">B7-B6</f>
        <v>0</v>
      </c>
      <c r="C8" s="33">
        <f t="shared" ref="C8:M8" ca="1" si="1">C7-C6</f>
        <v>0</v>
      </c>
      <c r="D8" s="33">
        <f t="shared" ca="1" si="1"/>
        <v>0</v>
      </c>
      <c r="E8" s="33">
        <f t="shared" ca="1" si="1"/>
        <v>0</v>
      </c>
      <c r="F8" s="33">
        <f t="shared" ca="1" si="1"/>
        <v>0</v>
      </c>
      <c r="G8" s="33">
        <f t="shared" ca="1" si="1"/>
        <v>0</v>
      </c>
      <c r="H8" s="33">
        <f t="shared" ca="1" si="1"/>
        <v>0</v>
      </c>
      <c r="I8" s="33">
        <f t="shared" ca="1" si="1"/>
        <v>0</v>
      </c>
      <c r="J8" s="33">
        <f t="shared" ca="1" si="1"/>
        <v>0</v>
      </c>
      <c r="K8" s="33">
        <f t="shared" ca="1" si="1"/>
        <v>0</v>
      </c>
      <c r="L8" s="33">
        <f t="shared" ca="1" si="1"/>
        <v>0</v>
      </c>
      <c r="M8" s="33">
        <f t="shared" ca="1" si="1"/>
        <v>0</v>
      </c>
      <c r="N8" s="34">
        <f t="shared" ca="1" si="0"/>
        <v>0</v>
      </c>
    </row>
  </sheetData>
  <phoneticPr fontId="6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8D0F2-FA35-425D-8528-08B6CCE421BF}">
  <dimension ref="A1:BG29"/>
  <sheetViews>
    <sheetView zoomScaleNormal="100" workbookViewId="0">
      <selection activeCell="A22" sqref="A22:E22"/>
    </sheetView>
  </sheetViews>
  <sheetFormatPr defaultRowHeight="15" x14ac:dyDescent="0.25"/>
  <cols>
    <col min="1" max="26" width="4.7109375" style="1" customWidth="1"/>
    <col min="27" max="29" width="4.7109375" customWidth="1"/>
    <col min="30" max="30" width="9.140625" style="3"/>
    <col min="31" max="59" width="4.7109375" customWidth="1"/>
  </cols>
  <sheetData>
    <row r="1" spans="1:59" x14ac:dyDescent="0.25">
      <c r="A1" s="65"/>
      <c r="B1" s="66" t="s">
        <v>43</v>
      </c>
      <c r="C1" s="66"/>
      <c r="D1" s="66"/>
      <c r="E1" s="66"/>
      <c r="F1" s="67"/>
      <c r="G1" s="66" t="s">
        <v>44</v>
      </c>
      <c r="H1" s="66"/>
      <c r="I1" s="66"/>
      <c r="J1" s="66"/>
      <c r="K1" s="66"/>
      <c r="L1" s="68"/>
      <c r="M1" s="66" t="s">
        <v>45</v>
      </c>
      <c r="N1" s="66"/>
      <c r="O1" s="66"/>
      <c r="P1" s="66"/>
      <c r="Q1" s="66"/>
    </row>
    <row r="2" spans="1:59" ht="76.5" customHeight="1" x14ac:dyDescent="0.25">
      <c r="A2" s="63" t="e" vm="1">
        <v>#VALUE!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E2" s="50" t="e" vm="2">
        <v>#VALUE!</v>
      </c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</row>
    <row r="3" spans="1:59" ht="15.75" thickBot="1" x14ac:dyDescent="0.3"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1:59" x14ac:dyDescent="0.25">
      <c r="A4" s="61" t="s">
        <v>10</v>
      </c>
      <c r="B4" s="61"/>
      <c r="C4" s="61"/>
      <c r="D4" s="61"/>
      <c r="E4" s="61"/>
      <c r="G4" s="61" t="s">
        <v>11</v>
      </c>
      <c r="H4" s="61"/>
      <c r="I4" s="61"/>
      <c r="J4" s="61"/>
      <c r="K4" s="61"/>
      <c r="M4" s="51" t="s">
        <v>12</v>
      </c>
      <c r="N4" s="52"/>
      <c r="O4" s="52"/>
      <c r="P4" s="52"/>
      <c r="Q4" s="53"/>
      <c r="S4" s="61" t="s">
        <v>13</v>
      </c>
      <c r="T4" s="61"/>
      <c r="U4" s="61"/>
      <c r="V4" s="61"/>
      <c r="W4" s="61"/>
      <c r="Y4" s="64" t="s">
        <v>14</v>
      </c>
      <c r="Z4" s="64"/>
      <c r="AA4" s="64"/>
      <c r="AB4" s="64"/>
      <c r="AC4" s="64"/>
      <c r="AE4" s="51" t="s">
        <v>17</v>
      </c>
      <c r="AF4" s="52"/>
      <c r="AG4" s="52"/>
      <c r="AH4" s="52"/>
      <c r="AI4" s="53"/>
      <c r="AJ4" s="1"/>
      <c r="AK4" s="51" t="s">
        <v>18</v>
      </c>
      <c r="AL4" s="52"/>
      <c r="AM4" s="52"/>
      <c r="AN4" s="52"/>
      <c r="AO4" s="53"/>
      <c r="AP4" s="1"/>
      <c r="AQ4" s="54" t="s">
        <v>19</v>
      </c>
      <c r="AR4" s="55"/>
      <c r="AS4" s="55"/>
      <c r="AT4" s="55"/>
      <c r="AU4" s="56"/>
      <c r="AV4" s="1"/>
      <c r="AW4" s="4"/>
      <c r="AX4" s="4"/>
      <c r="AY4" s="4"/>
      <c r="AZ4" s="4"/>
      <c r="BA4" s="4"/>
      <c r="BB4" s="1"/>
      <c r="BC4" s="57"/>
      <c r="BD4" s="57"/>
      <c r="BE4" s="57"/>
      <c r="BF4" s="57"/>
      <c r="BG4" s="57"/>
    </row>
    <row r="5" spans="1:59" x14ac:dyDescent="0.25">
      <c r="A5" s="11">
        <v>1</v>
      </c>
      <c r="B5" s="11">
        <v>2</v>
      </c>
      <c r="C5" s="11">
        <v>3</v>
      </c>
      <c r="D5" s="11">
        <v>4</v>
      </c>
      <c r="E5" s="2">
        <v>5</v>
      </c>
      <c r="G5" s="11">
        <v>1</v>
      </c>
      <c r="H5" s="11">
        <v>2</v>
      </c>
      <c r="I5" s="11">
        <v>3</v>
      </c>
      <c r="J5" s="2">
        <v>4</v>
      </c>
      <c r="K5" s="2">
        <v>5</v>
      </c>
      <c r="M5" s="46">
        <v>1</v>
      </c>
      <c r="N5" s="40">
        <v>2</v>
      </c>
      <c r="O5" s="40">
        <v>3</v>
      </c>
      <c r="P5" s="40">
        <v>4</v>
      </c>
      <c r="Q5" s="41">
        <v>5</v>
      </c>
      <c r="S5" s="11">
        <v>1</v>
      </c>
      <c r="T5" s="11">
        <v>2</v>
      </c>
      <c r="U5" s="11">
        <v>3</v>
      </c>
      <c r="V5" s="2">
        <v>4</v>
      </c>
      <c r="W5" s="2">
        <v>5</v>
      </c>
      <c r="Y5" s="11">
        <v>1</v>
      </c>
      <c r="Z5" s="2">
        <v>2</v>
      </c>
      <c r="AA5" s="2">
        <v>3</v>
      </c>
      <c r="AB5" s="2">
        <v>4</v>
      </c>
      <c r="AC5" s="2">
        <v>5</v>
      </c>
      <c r="AE5" s="10">
        <v>1</v>
      </c>
      <c r="AF5" s="40">
        <v>2</v>
      </c>
      <c r="AG5" s="40">
        <v>3</v>
      </c>
      <c r="AH5" s="40">
        <v>4</v>
      </c>
      <c r="AI5" s="41">
        <v>5</v>
      </c>
      <c r="AJ5" s="1"/>
      <c r="AK5" s="10">
        <v>1</v>
      </c>
      <c r="AL5" s="40">
        <v>2</v>
      </c>
      <c r="AM5" s="40">
        <v>3</v>
      </c>
      <c r="AN5" s="40">
        <v>4</v>
      </c>
      <c r="AO5" s="41">
        <v>5</v>
      </c>
      <c r="AP5" s="1"/>
      <c r="AQ5" s="10">
        <v>1</v>
      </c>
      <c r="AR5" s="40">
        <v>2</v>
      </c>
      <c r="AS5" s="40">
        <v>3</v>
      </c>
      <c r="AT5" s="40">
        <v>4</v>
      </c>
      <c r="AU5" s="41">
        <v>5</v>
      </c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</row>
    <row r="6" spans="1:59" x14ac:dyDescent="0.25">
      <c r="A6" s="2">
        <v>6</v>
      </c>
      <c r="B6" s="2">
        <v>7</v>
      </c>
      <c r="C6" s="2">
        <v>8</v>
      </c>
      <c r="D6" s="2">
        <v>9</v>
      </c>
      <c r="E6" s="2">
        <v>10</v>
      </c>
      <c r="G6" s="2">
        <v>6</v>
      </c>
      <c r="H6" s="2">
        <v>7</v>
      </c>
      <c r="I6" s="2">
        <v>8</v>
      </c>
      <c r="J6" s="2">
        <v>9</v>
      </c>
      <c r="K6" s="2">
        <v>10</v>
      </c>
      <c r="M6" s="42">
        <v>6</v>
      </c>
      <c r="N6" s="40">
        <v>7</v>
      </c>
      <c r="O6" s="40">
        <v>8</v>
      </c>
      <c r="P6" s="40">
        <v>9</v>
      </c>
      <c r="Q6" s="41">
        <v>10</v>
      </c>
      <c r="S6" s="2">
        <v>6</v>
      </c>
      <c r="T6" s="2">
        <v>7</v>
      </c>
      <c r="U6" s="2">
        <v>8</v>
      </c>
      <c r="V6" s="2">
        <v>9</v>
      </c>
      <c r="W6" s="2">
        <v>10</v>
      </c>
      <c r="Y6" s="2">
        <v>6</v>
      </c>
      <c r="Z6" s="2">
        <v>7</v>
      </c>
      <c r="AA6" s="2">
        <v>8</v>
      </c>
      <c r="AB6" s="2">
        <v>9</v>
      </c>
      <c r="AC6" s="2">
        <v>10</v>
      </c>
      <c r="AE6" s="42">
        <v>6</v>
      </c>
      <c r="AF6" s="40">
        <v>7</v>
      </c>
      <c r="AG6" s="40">
        <v>8</v>
      </c>
      <c r="AH6" s="40">
        <v>9</v>
      </c>
      <c r="AI6" s="41">
        <v>10</v>
      </c>
      <c r="AJ6" s="1"/>
      <c r="AK6" s="42">
        <v>6</v>
      </c>
      <c r="AL6" s="40">
        <v>7</v>
      </c>
      <c r="AM6" s="40">
        <v>8</v>
      </c>
      <c r="AN6" s="40">
        <v>9</v>
      </c>
      <c r="AO6" s="41">
        <v>10</v>
      </c>
      <c r="AP6" s="1"/>
      <c r="AQ6" s="42">
        <v>6</v>
      </c>
      <c r="AR6" s="40">
        <v>7</v>
      </c>
      <c r="AS6" s="40">
        <v>8</v>
      </c>
      <c r="AT6" s="40">
        <v>9</v>
      </c>
      <c r="AU6" s="41">
        <v>10</v>
      </c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</row>
    <row r="7" spans="1:59" ht="15.75" thickBot="1" x14ac:dyDescent="0.3">
      <c r="A7" s="2">
        <v>11</v>
      </c>
      <c r="B7" s="2">
        <v>12</v>
      </c>
      <c r="C7" s="2"/>
      <c r="D7" s="2"/>
      <c r="E7" s="2"/>
      <c r="G7" s="2">
        <v>11</v>
      </c>
      <c r="H7" s="2">
        <v>12</v>
      </c>
      <c r="I7" s="2"/>
      <c r="J7" s="2"/>
      <c r="K7" s="2"/>
      <c r="M7" s="43">
        <v>11</v>
      </c>
      <c r="N7" s="44">
        <v>12</v>
      </c>
      <c r="O7" s="8"/>
      <c r="P7" s="8"/>
      <c r="Q7" s="9"/>
      <c r="S7" s="2">
        <v>11</v>
      </c>
      <c r="T7" s="2">
        <v>12</v>
      </c>
      <c r="U7" s="2"/>
      <c r="V7" s="2"/>
      <c r="W7" s="2"/>
      <c r="Y7" s="2">
        <v>11</v>
      </c>
      <c r="Z7" s="2">
        <v>12</v>
      </c>
      <c r="AA7" s="2"/>
      <c r="AB7" s="2"/>
      <c r="AC7" s="2"/>
      <c r="AE7" s="43">
        <v>11</v>
      </c>
      <c r="AF7" s="44">
        <v>12</v>
      </c>
      <c r="AG7" s="8"/>
      <c r="AH7" s="8"/>
      <c r="AI7" s="9"/>
      <c r="AJ7" s="1"/>
      <c r="AK7" s="43">
        <v>11</v>
      </c>
      <c r="AL7" s="44">
        <v>12</v>
      </c>
      <c r="AM7" s="8"/>
      <c r="AN7" s="8"/>
      <c r="AO7" s="9"/>
      <c r="AP7" s="1"/>
      <c r="AQ7" s="43">
        <v>11</v>
      </c>
      <c r="AR7" s="44">
        <v>12</v>
      </c>
      <c r="AS7" s="8"/>
      <c r="AT7" s="8"/>
      <c r="AU7" s="9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pans="1:59" x14ac:dyDescent="0.25">
      <c r="A8" s="62"/>
      <c r="B8" s="62"/>
      <c r="C8" s="62"/>
      <c r="D8" s="62"/>
      <c r="E8" s="62"/>
      <c r="AA8" s="1"/>
      <c r="AB8" s="1"/>
      <c r="AC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pans="1:59" ht="15.75" thickBot="1" x14ac:dyDescent="0.3"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</row>
    <row r="10" spans="1:59" x14ac:dyDescent="0.25">
      <c r="A10" s="61" t="s">
        <v>15</v>
      </c>
      <c r="B10" s="61"/>
      <c r="C10" s="61"/>
      <c r="D10" s="61"/>
      <c r="E10" s="61"/>
      <c r="G10" s="51" t="s">
        <v>16</v>
      </c>
      <c r="H10" s="52"/>
      <c r="I10" s="52"/>
      <c r="J10" s="52"/>
      <c r="K10" s="53"/>
      <c r="AE10" s="4"/>
      <c r="AF10" s="4"/>
      <c r="AG10" s="4"/>
      <c r="AH10" s="4"/>
      <c r="AI10" s="4"/>
      <c r="AJ10" s="1"/>
      <c r="AK10" s="4"/>
      <c r="AL10" s="4"/>
      <c r="AM10" s="4"/>
      <c r="AN10" s="4"/>
      <c r="AO10" s="4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</row>
    <row r="11" spans="1:59" x14ac:dyDescent="0.25">
      <c r="A11" s="11">
        <v>1</v>
      </c>
      <c r="B11" s="2">
        <v>2</v>
      </c>
      <c r="C11" s="2">
        <v>3</v>
      </c>
      <c r="D11" s="2">
        <v>4</v>
      </c>
      <c r="E11" s="2">
        <v>5</v>
      </c>
      <c r="G11" s="12">
        <v>1</v>
      </c>
      <c r="H11" s="40">
        <v>2</v>
      </c>
      <c r="I11" s="40">
        <v>3</v>
      </c>
      <c r="J11" s="40">
        <v>4</v>
      </c>
      <c r="K11" s="41">
        <v>5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</row>
    <row r="12" spans="1:59" x14ac:dyDescent="0.25">
      <c r="A12" s="2">
        <v>6</v>
      </c>
      <c r="B12" s="2">
        <v>7</v>
      </c>
      <c r="C12" s="2">
        <v>8</v>
      </c>
      <c r="D12" s="2">
        <v>9</v>
      </c>
      <c r="E12" s="2">
        <v>10</v>
      </c>
      <c r="G12" s="42">
        <v>6</v>
      </c>
      <c r="H12" s="40">
        <v>7</v>
      </c>
      <c r="I12" s="40">
        <v>8</v>
      </c>
      <c r="J12" s="40">
        <v>9</v>
      </c>
      <c r="K12" s="41">
        <v>10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</row>
    <row r="13" spans="1:59" ht="15.75" thickBot="1" x14ac:dyDescent="0.3">
      <c r="A13" s="2">
        <v>11</v>
      </c>
      <c r="B13" s="2">
        <v>12</v>
      </c>
      <c r="C13" s="2"/>
      <c r="D13" s="2"/>
      <c r="E13" s="2"/>
      <c r="G13" s="43">
        <v>11</v>
      </c>
      <c r="H13" s="44">
        <v>12</v>
      </c>
      <c r="I13" s="8"/>
      <c r="J13" s="8"/>
      <c r="K13" s="9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</row>
    <row r="14" spans="1:59" x14ac:dyDescent="0.25"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</row>
    <row r="15" spans="1:59" ht="15.75" thickBot="1" x14ac:dyDescent="0.3"/>
    <row r="16" spans="1:59" x14ac:dyDescent="0.25">
      <c r="A16" s="61" t="s">
        <v>20</v>
      </c>
      <c r="B16" s="61"/>
      <c r="C16" s="61"/>
      <c r="D16" s="61"/>
      <c r="E16" s="61"/>
      <c r="G16" s="51" t="s">
        <v>21</v>
      </c>
      <c r="H16" s="52"/>
      <c r="I16" s="52"/>
      <c r="J16" s="52"/>
      <c r="K16" s="53"/>
    </row>
    <row r="17" spans="1:11" x14ac:dyDescent="0.25">
      <c r="A17" s="11">
        <v>1</v>
      </c>
      <c r="B17" s="45">
        <v>2</v>
      </c>
      <c r="C17" s="11">
        <v>3</v>
      </c>
      <c r="D17" s="11">
        <v>4</v>
      </c>
      <c r="E17" s="13">
        <v>5</v>
      </c>
      <c r="G17" s="12">
        <v>1</v>
      </c>
      <c r="H17" s="11">
        <v>2</v>
      </c>
      <c r="I17" s="45">
        <v>3</v>
      </c>
      <c r="J17" s="13">
        <v>4</v>
      </c>
      <c r="K17" s="14">
        <v>5</v>
      </c>
    </row>
    <row r="18" spans="1:11" x14ac:dyDescent="0.25">
      <c r="A18" s="13">
        <v>6</v>
      </c>
      <c r="B18" s="13">
        <v>7</v>
      </c>
      <c r="C18" s="13">
        <v>8</v>
      </c>
      <c r="D18" s="2">
        <v>9</v>
      </c>
      <c r="E18" s="2">
        <v>10</v>
      </c>
      <c r="G18" s="5">
        <v>6</v>
      </c>
      <c r="H18" s="2">
        <v>7</v>
      </c>
      <c r="I18" s="2">
        <v>8</v>
      </c>
      <c r="J18" s="2">
        <v>9</v>
      </c>
      <c r="K18" s="6">
        <v>10</v>
      </c>
    </row>
    <row r="19" spans="1:11" ht="15.75" thickBot="1" x14ac:dyDescent="0.3">
      <c r="A19" s="2">
        <v>11</v>
      </c>
      <c r="B19" s="2">
        <v>12</v>
      </c>
      <c r="C19" s="2"/>
      <c r="D19" s="2"/>
      <c r="E19" s="2"/>
      <c r="G19" s="7">
        <v>11</v>
      </c>
      <c r="H19" s="8">
        <v>12</v>
      </c>
      <c r="I19" s="8"/>
      <c r="J19" s="8"/>
      <c r="K19" s="9"/>
    </row>
    <row r="21" spans="1:11" ht="15.75" thickBot="1" x14ac:dyDescent="0.3"/>
    <row r="22" spans="1:11" ht="15.75" thickBot="1" x14ac:dyDescent="0.3">
      <c r="A22" s="58" t="s">
        <v>41</v>
      </c>
      <c r="B22" s="59"/>
      <c r="C22" s="59"/>
      <c r="D22" s="59"/>
      <c r="E22" s="60"/>
    </row>
    <row r="23" spans="1:11" x14ac:dyDescent="0.25">
      <c r="A23" s="38">
        <v>1</v>
      </c>
      <c r="B23" s="39">
        <v>2</v>
      </c>
      <c r="C23" s="39">
        <v>3</v>
      </c>
      <c r="D23" s="39">
        <v>4</v>
      </c>
      <c r="E23" s="47">
        <v>5</v>
      </c>
    </row>
    <row r="24" spans="1:11" x14ac:dyDescent="0.25">
      <c r="A24" s="48">
        <f>E23+1</f>
        <v>6</v>
      </c>
      <c r="B24" s="49">
        <f>A24+1</f>
        <v>7</v>
      </c>
      <c r="C24" s="15">
        <f t="shared" ref="C24:E24" si="0">B24+1</f>
        <v>8</v>
      </c>
      <c r="D24" s="15">
        <f t="shared" si="0"/>
        <v>9</v>
      </c>
      <c r="E24" s="16">
        <f t="shared" si="0"/>
        <v>10</v>
      </c>
    </row>
    <row r="25" spans="1:11" x14ac:dyDescent="0.25">
      <c r="A25" s="48">
        <f t="shared" ref="A25:A29" si="1">E24+1</f>
        <v>11</v>
      </c>
      <c r="B25" s="15">
        <f t="shared" ref="B25:E25" si="2">A25+1</f>
        <v>12</v>
      </c>
      <c r="C25" s="15">
        <f t="shared" si="2"/>
        <v>13</v>
      </c>
      <c r="D25" s="15">
        <f t="shared" si="2"/>
        <v>14</v>
      </c>
      <c r="E25" s="16">
        <f t="shared" si="2"/>
        <v>15</v>
      </c>
    </row>
    <row r="26" spans="1:11" x14ac:dyDescent="0.25">
      <c r="A26" s="17">
        <f t="shared" si="1"/>
        <v>16</v>
      </c>
      <c r="B26" s="15">
        <f t="shared" ref="B26:E26" si="3">A26+1</f>
        <v>17</v>
      </c>
      <c r="C26" s="15">
        <f t="shared" si="3"/>
        <v>18</v>
      </c>
      <c r="D26" s="15">
        <f t="shared" si="3"/>
        <v>19</v>
      </c>
      <c r="E26" s="16">
        <f t="shared" si="3"/>
        <v>20</v>
      </c>
    </row>
    <row r="27" spans="1:11" x14ac:dyDescent="0.25">
      <c r="A27" s="17">
        <f t="shared" si="1"/>
        <v>21</v>
      </c>
      <c r="B27" s="15">
        <f t="shared" ref="B27:E27" si="4">A27+1</f>
        <v>22</v>
      </c>
      <c r="C27" s="15">
        <f t="shared" si="4"/>
        <v>23</v>
      </c>
      <c r="D27" s="15">
        <f t="shared" si="4"/>
        <v>24</v>
      </c>
      <c r="E27" s="16">
        <f t="shared" si="4"/>
        <v>25</v>
      </c>
    </row>
    <row r="28" spans="1:11" x14ac:dyDescent="0.25">
      <c r="A28" s="17">
        <f t="shared" si="1"/>
        <v>26</v>
      </c>
      <c r="B28" s="15">
        <f t="shared" ref="B28:E28" si="5">A28+1</f>
        <v>27</v>
      </c>
      <c r="C28" s="15">
        <f t="shared" si="5"/>
        <v>28</v>
      </c>
      <c r="D28" s="15">
        <f t="shared" si="5"/>
        <v>29</v>
      </c>
      <c r="E28" s="16">
        <f t="shared" si="5"/>
        <v>30</v>
      </c>
    </row>
    <row r="29" spans="1:11" ht="15.75" thickBot="1" x14ac:dyDescent="0.3">
      <c r="A29" s="18">
        <f t="shared" si="1"/>
        <v>31</v>
      </c>
      <c r="B29" s="19">
        <f t="shared" ref="B29:D29" si="6">A29+1</f>
        <v>32</v>
      </c>
      <c r="C29" s="19">
        <f t="shared" si="6"/>
        <v>33</v>
      </c>
      <c r="D29" s="19">
        <f t="shared" si="6"/>
        <v>34</v>
      </c>
      <c r="E29" s="9"/>
    </row>
  </sheetData>
  <mergeCells count="20">
    <mergeCell ref="B1:E1"/>
    <mergeCell ref="G1:K1"/>
    <mergeCell ref="M1:Q1"/>
    <mergeCell ref="A22:E22"/>
    <mergeCell ref="A16:E16"/>
    <mergeCell ref="G16:K16"/>
    <mergeCell ref="A8:E8"/>
    <mergeCell ref="A2:AC2"/>
    <mergeCell ref="A4:E4"/>
    <mergeCell ref="G4:K4"/>
    <mergeCell ref="M4:Q4"/>
    <mergeCell ref="S4:W4"/>
    <mergeCell ref="Y4:AC4"/>
    <mergeCell ref="A10:E10"/>
    <mergeCell ref="G10:K10"/>
    <mergeCell ref="AE2:BG2"/>
    <mergeCell ref="AE4:AI4"/>
    <mergeCell ref="AK4:AO4"/>
    <mergeCell ref="AQ4:AU4"/>
    <mergeCell ref="BC4:BG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B7239-7DC9-4E53-BCEE-8FA0BA54908B}">
  <sheetPr>
    <tabColor theme="5" tint="0.59999389629810485"/>
  </sheetPr>
  <dimension ref="A1:I4"/>
  <sheetViews>
    <sheetView workbookViewId="0">
      <selection activeCell="L14" sqref="L14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  <col min="9" max="9" width="10.42578125" bestFit="1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/>
      <c r="I2" s="73"/>
    </row>
    <row r="3" spans="1:9" x14ac:dyDescent="0.25">
      <c r="F3">
        <f>JANEIRO[[#This Row],[Valor Capa]]-JANEIRO[[#This Row],[Valor Pago]]</f>
        <v>0</v>
      </c>
    </row>
    <row r="4" spans="1:9" x14ac:dyDescent="0.25">
      <c r="A4" t="s">
        <v>9</v>
      </c>
      <c r="C4">
        <f>SUBTOTAL(109,JANEIRO[Páginas])</f>
        <v>0</v>
      </c>
      <c r="D4" s="75">
        <f>SUBTOTAL(109,JANEIRO[Valor Pago])</f>
        <v>0</v>
      </c>
      <c r="E4" s="75">
        <f>SUBTOTAL(109,JANEIRO[Valor Capa])</f>
        <v>0</v>
      </c>
      <c r="F4">
        <f>SUBTOTAL(109,JANEIRO[Economia])</f>
        <v>0</v>
      </c>
      <c r="I4">
        <f>SUBTOTAL(103,JANEIRO[Data])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18FFB-819C-4D4B-A320-79D9A416BF7B}">
  <sheetPr>
    <tabColor theme="5" tint="0.59999389629810485"/>
  </sheetPr>
  <dimension ref="A1:I3"/>
  <sheetViews>
    <sheetView workbookViewId="0">
      <selection activeCell="J11" sqref="J11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SUBTOTAL(109,FEVEREIRO[Páginas])</f>
        <v>0</v>
      </c>
      <c r="D3" s="69">
        <f>SUBTOTAL(109,FEVEREIRO[Valor Pago])</f>
        <v>0</v>
      </c>
      <c r="E3" s="76">
        <f>SUBTOTAL(109,FEVEREIRO[Valor Capa])</f>
        <v>0</v>
      </c>
      <c r="F3" s="70">
        <f>SUBTOTAL(109,FEVEREIRO[Economia])</f>
        <v>0</v>
      </c>
      <c r="I3">
        <f>SUBTOTAL(103,FEVEREIRO[Data])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09AF1-32EF-49AC-8EAA-16D27F487607}">
  <sheetPr>
    <tabColor theme="5" tint="0.59999389629810485"/>
  </sheetPr>
  <dimension ref="A1:I3"/>
  <sheetViews>
    <sheetView workbookViewId="0">
      <selection activeCell="J19" sqref="J19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SUBTOTAL(109,MARÇO[Páginas])</f>
        <v>0</v>
      </c>
      <c r="D3" s="70">
        <f>SUBTOTAL(109,MARÇO[Valor Pago])</f>
        <v>0</v>
      </c>
      <c r="E3" s="70">
        <f>SUBTOTAL(109,MARÇO[Valor Capa])</f>
        <v>0</v>
      </c>
      <c r="F3" s="70">
        <f>SUBTOTAL(109,MARÇO[Economia])</f>
        <v>0</v>
      </c>
      <c r="I3">
        <f>SUBTOTAL(103,MARÇO[Data])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2C314-9111-41E8-BA47-29353F0656AA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SUBTOTAL(109,ABRIL[Páginas])</f>
        <v>0</v>
      </c>
      <c r="D3" s="70">
        <f>SUBTOTAL(109,ABRIL[Valor Pago])</f>
        <v>0</v>
      </c>
      <c r="E3" s="70">
        <f>SUBTOTAL(109,ABRIL[Valor Capa])</f>
        <v>0</v>
      </c>
      <c r="F3" s="70">
        <f>SUBTOTAL(109,ABRIL[Economia])</f>
        <v>0</v>
      </c>
      <c r="I3">
        <f>SUBTOTAL(103,ABRIL[Data])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5D775-1DAB-4F35-9A5A-725609E6491C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SUBTOTAL(109,MAIO[Páginas])</f>
        <v>0</v>
      </c>
      <c r="D3" s="70">
        <f>SUBTOTAL(109,MAIO[Valor Pago])</f>
        <v>0</v>
      </c>
      <c r="E3" s="70">
        <f>SUBTOTAL(109,MAIO[Valor Capa])</f>
        <v>0</v>
      </c>
      <c r="F3" s="70">
        <f>SUBTOTAL(109,MAIO[Economia])</f>
        <v>0</v>
      </c>
      <c r="I3">
        <f>SUBTOTAL(103,MAIO[Data])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EA620-1A1E-4735-B7F2-C492D5CB8E73}">
  <sheetPr>
    <tabColor theme="5" tint="0.59999389629810485"/>
  </sheetPr>
  <dimension ref="A1:I3"/>
  <sheetViews>
    <sheetView workbookViewId="0">
      <selection activeCell="C3" sqref="C3: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SUBTOTAL(109,JUNHO[Páginas])</f>
        <v>0</v>
      </c>
      <c r="D3" s="70">
        <f>SUBTOTAL(109,JUNHO[Valor Pago])</f>
        <v>0</v>
      </c>
      <c r="E3" s="70">
        <f>SUBTOTAL(109,JUNHO[Valor Capa])</f>
        <v>0</v>
      </c>
      <c r="F3" s="70">
        <f>SUBTOTAL(109,JUNHO[Economia])</f>
        <v>0</v>
      </c>
      <c r="I3">
        <f>SUBTOTAL(103,JUNHO[Data])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1D9FE-2233-42AC-B1B5-52A6671313B5}">
  <sheetPr>
    <tabColor theme="5" tint="0.59999389629810485"/>
  </sheetPr>
  <dimension ref="A1:I3"/>
  <sheetViews>
    <sheetView workbookViewId="0">
      <selection activeCell="F3" sqref="F3"/>
    </sheetView>
  </sheetViews>
  <sheetFormatPr defaultRowHeight="15" x14ac:dyDescent="0.25"/>
  <cols>
    <col min="3" max="3" width="10.28515625" customWidth="1"/>
    <col min="4" max="4" width="12.7109375" style="69" customWidth="1"/>
    <col min="5" max="5" width="12.85546875" style="69" customWidth="1"/>
    <col min="6" max="7" width="12" customWidth="1"/>
    <col min="8" max="8" width="9.42578125" customWidth="1"/>
  </cols>
  <sheetData>
    <row r="1" spans="1:9" x14ac:dyDescent="0.25">
      <c r="A1" t="s">
        <v>0</v>
      </c>
      <c r="B1" t="s">
        <v>1</v>
      </c>
      <c r="C1" t="s">
        <v>2</v>
      </c>
      <c r="D1" s="69" t="s">
        <v>5</v>
      </c>
      <c r="E1" s="69" t="s">
        <v>6</v>
      </c>
      <c r="F1" t="s">
        <v>7</v>
      </c>
      <c r="G1" t="s">
        <v>23</v>
      </c>
      <c r="H1" t="s">
        <v>3</v>
      </c>
      <c r="I1" t="s">
        <v>22</v>
      </c>
    </row>
    <row r="2" spans="1:9" x14ac:dyDescent="0.25">
      <c r="F2" s="70">
        <f>FEVEREIRO[[#This Row],[Valor Capa]]-FEVEREIRO[[#This Row],[Valor Pago]]</f>
        <v>0</v>
      </c>
    </row>
    <row r="3" spans="1:9" x14ac:dyDescent="0.25">
      <c r="A3" t="s">
        <v>9</v>
      </c>
      <c r="C3">
        <f>SUBTOTAL(109,JULHO[Páginas])</f>
        <v>0</v>
      </c>
      <c r="D3" s="74">
        <f>SUBTOTAL(109,JULHO[Valor Pago])</f>
        <v>0</v>
      </c>
      <c r="E3" s="74">
        <f>SUBTOTAL(109,JULHO[Valor Capa])</f>
        <v>0</v>
      </c>
      <c r="F3" s="70">
        <f>SUBTOTAL(109,JULHO[Economia])</f>
        <v>0</v>
      </c>
      <c r="I3">
        <f>SUBTOTAL(103,JULHO[Data])</f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Adquiridos</vt:lpstr>
      <vt:lpstr>Coleções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Totais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Daniel Lopes</dc:creator>
  <cp:lastModifiedBy>Felipe Daniel Lopes</cp:lastModifiedBy>
  <dcterms:created xsi:type="dcterms:W3CDTF">2025-12-11T12:19:33Z</dcterms:created>
  <dcterms:modified xsi:type="dcterms:W3CDTF">2025-12-28T21:45:39Z</dcterms:modified>
</cp:coreProperties>
</file>